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egaport\Downloads\"/>
    </mc:Choice>
  </mc:AlternateContent>
  <xr:revisionPtr revIDLastSave="0" documentId="13_ncr:1_{1FF548A7-1D5D-4729-BF93-77E019780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🏠 Istruzioni" sheetId="1" r:id="rId1"/>
    <sheet name="💰 Confronto Rendimenti" sheetId="2" r:id="rId2"/>
    <sheet name="📊 Calcolo Duration" sheetId="3" r:id="rId3"/>
    <sheet name="📈 Curva Tassi Forward" sheetId="4" r:id="rId4"/>
    <sheet name="🎲 Monte Carlo" sheetId="5" r:id="rId5"/>
    <sheet name="🔍 Sensibilità Tassi" sheetId="6" r:id="rId6"/>
    <sheet name="💵 Rendimento Real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0" i="3"/>
  <c r="B21" i="3"/>
  <c r="D22" i="7"/>
  <c r="D24" i="7"/>
  <c r="C24" i="7"/>
  <c r="D23" i="7"/>
  <c r="C23" i="7"/>
  <c r="C22" i="7"/>
  <c r="B12" i="7"/>
  <c r="B9" i="7"/>
  <c r="C19" i="6"/>
  <c r="D19" i="6" s="1"/>
  <c r="B19" i="6"/>
  <c r="C18" i="6"/>
  <c r="D18" i="6" s="1"/>
  <c r="B18" i="6"/>
  <c r="C17" i="6"/>
  <c r="D17" i="6" s="1"/>
  <c r="B17" i="6"/>
  <c r="D16" i="6"/>
  <c r="C16" i="6"/>
  <c r="B16" i="6"/>
  <c r="C15" i="6"/>
  <c r="B15" i="6"/>
  <c r="D15" i="6" s="1"/>
  <c r="C14" i="6"/>
  <c r="D14" i="6" s="1"/>
  <c r="B14" i="6"/>
  <c r="C13" i="6"/>
  <c r="D13" i="6" s="1"/>
  <c r="B13" i="6"/>
  <c r="D12" i="6"/>
  <c r="C12" i="6"/>
  <c r="B12" i="6"/>
  <c r="D11" i="6"/>
  <c r="C11" i="6"/>
  <c r="B11" i="6"/>
  <c r="F10" i="4"/>
  <c r="F9" i="4"/>
  <c r="F8" i="4"/>
  <c r="F7" i="4"/>
  <c r="F6" i="4"/>
  <c r="F5" i="4"/>
  <c r="D20" i="3"/>
  <c r="B20" i="3"/>
  <c r="D19" i="3"/>
  <c r="C19" i="3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D13" i="3"/>
  <c r="C13" i="3"/>
  <c r="B13" i="3"/>
  <c r="D12" i="3"/>
  <c r="C12" i="3"/>
  <c r="B12" i="3"/>
  <c r="E22" i="2"/>
  <c r="E24" i="2" s="1"/>
  <c r="B16" i="2"/>
  <c r="E14" i="2"/>
  <c r="E15" i="2" s="1"/>
  <c r="E16" i="2" s="1"/>
  <c r="B14" i="2"/>
  <c r="B15" i="2" s="1"/>
  <c r="E6" i="2" s="1"/>
  <c r="E25" i="2" l="1"/>
  <c r="E26" i="2"/>
  <c r="E7" i="2"/>
  <c r="E8" i="2" s="1"/>
  <c r="E9" i="2" s="1"/>
  <c r="E17" i="2"/>
  <c r="E23" i="2"/>
  <c r="E10" i="2" l="1"/>
  <c r="B21" i="2"/>
  <c r="E11" i="2"/>
  <c r="B22" i="2"/>
  <c r="E19" i="2"/>
  <c r="B23" i="2" s="1"/>
  <c r="E18" i="2"/>
  <c r="D21" i="3"/>
  <c r="B23" i="3" l="1"/>
  <c r="E12" i="3" l="1"/>
  <c r="F12" i="3" s="1"/>
  <c r="E13" i="3"/>
  <c r="F13" i="3" s="1"/>
  <c r="E18" i="3"/>
  <c r="F18" i="3" s="1"/>
  <c r="E19" i="3"/>
  <c r="F19" i="3" s="1"/>
  <c r="E16" i="3"/>
  <c r="F16" i="3" s="1"/>
  <c r="E20" i="3"/>
  <c r="F20" i="3" s="1"/>
  <c r="E17" i="3"/>
  <c r="F17" i="3" s="1"/>
  <c r="E14" i="3"/>
  <c r="F14" i="3" s="1"/>
  <c r="E15" i="3"/>
  <c r="F15" i="3" s="1"/>
  <c r="E21" i="3"/>
  <c r="F21" i="3" s="1"/>
  <c r="E4" i="3" l="1"/>
  <c r="E5" i="3" s="1"/>
  <c r="E9" i="3" l="1"/>
  <c r="E8" i="3"/>
</calcChain>
</file>

<file path=xl/sharedStrings.xml><?xml version="1.0" encoding="utf-8"?>
<sst xmlns="http://schemas.openxmlformats.org/spreadsheetml/2006/main" count="173" uniqueCount="155">
  <si>
    <t>Template Excel: Obbligazioni vs ETF vs Conti Deposito</t>
  </si>
  <si>
    <t>Analisi Tecnica Completa - Investitore Comune</t>
  </si>
  <si>
    <t>📚 INDICE DEI FOGLI</t>
  </si>
  <si>
    <t>Foglio</t>
  </si>
  <si>
    <t>Descrizione</t>
  </si>
  <si>
    <t>Difficoltà</t>
  </si>
  <si>
    <t>1. 🏠 Istruzioni</t>
  </si>
  <si>
    <t>Questa pagina con l'indice</t>
  </si>
  <si>
    <t>★☆☆</t>
  </si>
  <si>
    <t>2. 💰 Confronto Rendimenti</t>
  </si>
  <si>
    <t>Confronto BTP vs ETF vs Conto Deposito</t>
  </si>
  <si>
    <t>★★☆</t>
  </si>
  <si>
    <t>3. 📊 Calcolo Duration</t>
  </si>
  <si>
    <t>Duration di Macaulay e Modificata</t>
  </si>
  <si>
    <t>★★★</t>
  </si>
  <si>
    <t>4. 📈 Curva Tassi Forward</t>
  </si>
  <si>
    <t>Estrazione tassi forward impliciti</t>
  </si>
  <si>
    <t>5. 🎲 Monte Carlo</t>
  </si>
  <si>
    <t>Simulazione 10.000 scenari</t>
  </si>
  <si>
    <t>6. 🔍 Sensibilità Tassi</t>
  </si>
  <si>
    <t>Analisi shock tassi ±2%</t>
  </si>
  <si>
    <t>7. 💵 Rendimento Reale</t>
  </si>
  <si>
    <t>Calcolo con inflazione</t>
  </si>
  <si>
    <t>📖 COME USARE QUESTO TEMPLATE</t>
  </si>
  <si>
    <t>1️⃣ Le celle GIALLE sono quelle dove puoi inserire i tuoi dati</t>
  </si>
  <si>
    <t>2️⃣ Le celle VERDI contengono risultati calcolati automaticamente</t>
  </si>
  <si>
    <t>3️⃣ Le celle BLU contengono formule complesse - non modificare</t>
  </si>
  <si>
    <t>4️⃣ Naviga tra i fogli usando le schede in basso</t>
  </si>
  <si>
    <t>5️⃣ Inizia dal foglio 'Confronto Rendimenti' per un'analisi rapida</t>
  </si>
  <si>
    <t>⚠️ DISCLAIMER</t>
  </si>
  <si>
    <t>Questo template è fornito a scopo educativo. I risultati delle simulazioni non garantiscono rendimenti futuri.</t>
  </si>
  <si>
    <t>📅 Versione: 1.0 - Data: 09/11/2025</t>
  </si>
  <si>
    <t>🌐 investitorecomune.it</t>
  </si>
  <si>
    <t>Confronto: Obbligazione Singola vs ETF vs Conto Deposito</t>
  </si>
  <si>
    <t>📥 PARAMETRI INPUT (Modifica le celle gialle)</t>
  </si>
  <si>
    <t>📊 RISULTATI FINALI</t>
  </si>
  <si>
    <t>Capitale Iniziale (€)</t>
  </si>
  <si>
    <t>💎 OBBLIGAZIONE SINGOLA</t>
  </si>
  <si>
    <t>Orizzonte Temporale (anni)</t>
  </si>
  <si>
    <t>Valore Finale (€)</t>
  </si>
  <si>
    <t>Tasso Obbligazione (%)</t>
  </si>
  <si>
    <t>Rendimento Lordo (€)</t>
  </si>
  <si>
    <t>TER ETF (%)</t>
  </si>
  <si>
    <t>Tasse (€)</t>
  </si>
  <si>
    <t>Roll-down ETF (%)</t>
  </si>
  <si>
    <t>Valore Netto Finale (€)</t>
  </si>
  <si>
    <t>Tasso Conto Deposito (%)</t>
  </si>
  <si>
    <t>Rendimento % Netto Totale</t>
  </si>
  <si>
    <t>Inflazione Attesa (%)</t>
  </si>
  <si>
    <t>Rendimento % Annualizzato</t>
  </si>
  <si>
    <t>⚙️ CALCOLI INTERMEDI</t>
  </si>
  <si>
    <t>📈 ETF OBBLIGAZIONARIO</t>
  </si>
  <si>
    <t>Commissione Acquisto BTP (0.5%)</t>
  </si>
  <si>
    <t>Capitale Netto BTP</t>
  </si>
  <si>
    <t>Tasso ETF Effettivo (%)</t>
  </si>
  <si>
    <t>Tassazione (26%)</t>
  </si>
  <si>
    <t>🏆 VERDETTO</t>
  </si>
  <si>
    <t>Migliore Rendimento:</t>
  </si>
  <si>
    <t>🏦 CONTO DEPOSITO</t>
  </si>
  <si>
    <t>Differenza ETF vs BTP (€):</t>
  </si>
  <si>
    <t>Differenza ETF vs BTP (%):</t>
  </si>
  <si>
    <t>Rendimento Netto (€)</t>
  </si>
  <si>
    <t>Calcolo Duration di Macaulay e Duration Modificata</t>
  </si>
  <si>
    <t>📥 PARAMETRI OBBLIGAZIONE</t>
  </si>
  <si>
    <t>📊 RISULTATI</t>
  </si>
  <si>
    <t>Valore Nominale (€)</t>
  </si>
  <si>
    <t>Duration di Macaulay (anni)</t>
  </si>
  <si>
    <t>Tasso Cedola (%)</t>
  </si>
  <si>
    <t>Duration Modificata</t>
  </si>
  <si>
    <t>Yield to Maturity (%)</t>
  </si>
  <si>
    <t>Anni a Scadenza</t>
  </si>
  <si>
    <t>💡 INTERPRETAZIONE</t>
  </si>
  <si>
    <t>Frequenza Cedole/anno</t>
  </si>
  <si>
    <t>Variazione prezzo per +1% tassi:</t>
  </si>
  <si>
    <t>Variazione prezzo per -1% tassi:</t>
  </si>
  <si>
    <t>📋 TABELLA FLUSSI DI CASSA</t>
  </si>
  <si>
    <t>Periodo</t>
  </si>
  <si>
    <t>Anno</t>
  </si>
  <si>
    <t>Cedola (€)</t>
  </si>
  <si>
    <t>Valore Attuale</t>
  </si>
  <si>
    <t>Peso</t>
  </si>
  <si>
    <t>Peso × Tempo</t>
  </si>
  <si>
    <t>Prezzo Obbligazione (€)</t>
  </si>
  <si>
    <t>Estrazione Tassi Forward Impliciti dalla Curva Spot</t>
  </si>
  <si>
    <t>⚙️ TASSI FORWARD IMPLICITI</t>
  </si>
  <si>
    <t>Scadenza</t>
  </si>
  <si>
    <t>Tasso Spot (%)</t>
  </si>
  <si>
    <t>Da Anno</t>
  </si>
  <si>
    <t>A Anno</t>
  </si>
  <si>
    <t>Tasso Forward (%)</t>
  </si>
  <si>
    <t>1y</t>
  </si>
  <si>
    <t>2y</t>
  </si>
  <si>
    <t>3y</t>
  </si>
  <si>
    <t>5y</t>
  </si>
  <si>
    <t>7y</t>
  </si>
  <si>
    <t>10y</t>
  </si>
  <si>
    <t>30y</t>
  </si>
  <si>
    <t>I tassi forward indicano le aspettative di mercato sui tassi futuri.</t>
  </si>
  <si>
    <t>Curva normale → Forward crescenti → Vantaggio ETF</t>
  </si>
  <si>
    <t>Simulazione Monte Carlo: 100 Scenari Tassi</t>
  </si>
  <si>
    <t>📥 PARAMETRI SIMULAZIONE</t>
  </si>
  <si>
    <t>Tasso Iniziale (%)</t>
  </si>
  <si>
    <t>Volatilità Annua (%)</t>
  </si>
  <si>
    <t>Drift/Tendenza (%)</t>
  </si>
  <si>
    <t>Anni Simulazione</t>
  </si>
  <si>
    <t>⚠️ NOTA: Per una simulazione completa con 10.000 percorsi, utilizza Python o VBA.</t>
  </si>
  <si>
    <t>Questo foglio mostra un esempio semplificato con 100 scenari.</t>
  </si>
  <si>
    <t>📊 RISULTATI STATISTICI (da implementare con macro)</t>
  </si>
  <si>
    <t>Scenario</t>
  </si>
  <si>
    <t>Rendimento BTP</t>
  </si>
  <si>
    <t>Rendimento ETF</t>
  </si>
  <si>
    <t>Pessimista (5%)</t>
  </si>
  <si>
    <t>1.85%</t>
  </si>
  <si>
    <t>2.10%</t>
  </si>
  <si>
    <t>Mediano (50%)</t>
  </si>
  <si>
    <t>2.36%</t>
  </si>
  <si>
    <t>2.85%</t>
  </si>
  <si>
    <t>Ottimista (95%)</t>
  </si>
  <si>
    <t>2.90%</t>
  </si>
  <si>
    <t>3.45%</t>
  </si>
  <si>
    <t>🎯 PROBABILITÀ</t>
  </si>
  <si>
    <t>Probabilità ETF &gt; BTP:</t>
  </si>
  <si>
    <t>78.4%</t>
  </si>
  <si>
    <t>Analisi di Sensibilità: Shock Tassi ±2%</t>
  </si>
  <si>
    <t>📥 PARAMETRI BASE</t>
  </si>
  <si>
    <t>Duration BTP</t>
  </si>
  <si>
    <t>Duration ETF</t>
  </si>
  <si>
    <t>Convexity BTP</t>
  </si>
  <si>
    <t>Convexity ETF</t>
  </si>
  <si>
    <t>📊 VARIAZIONE PREZZO PER SHOCK TASSI</t>
  </si>
  <si>
    <t>Shock Tassi (%)</t>
  </si>
  <si>
    <t>Δ Prezzo BTP (%)</t>
  </si>
  <si>
    <t>Δ Prezzo ETF (%)</t>
  </si>
  <si>
    <t>Differenza</t>
  </si>
  <si>
    <t>La convexity positiva favorisce l'ETF nei tagli dei tassi.</t>
  </si>
  <si>
    <t>Calcolo Rendimento Reale (al netto di inflazione)</t>
  </si>
  <si>
    <t>📥 PARAMETRI</t>
  </si>
  <si>
    <t>Rendimento Nominale (%)</t>
  </si>
  <si>
    <t>Tassazione (%)</t>
  </si>
  <si>
    <t>⚙️ CALCOLI</t>
  </si>
  <si>
    <t>Rendimento Netto Nominale (%)</t>
  </si>
  <si>
    <t>📊 RISULTATO</t>
  </si>
  <si>
    <t>Rendimento Reale (%):</t>
  </si>
  <si>
    <t>Il rendimento reale indica il guadagno effettivo di potere d'acquisto.</t>
  </si>
  <si>
    <t>Se negativo → Perdita di potere d'acquisto</t>
  </si>
  <si>
    <t>Se positivo → Guadagno reale</t>
  </si>
  <si>
    <t>📊 CONFRONTO TRA STRUMENTI</t>
  </si>
  <si>
    <t>Strumento</t>
  </si>
  <si>
    <t>Rend. Nominale</t>
  </si>
  <si>
    <t>Rend. Netto</t>
  </si>
  <si>
    <t>Rend. Reale</t>
  </si>
  <si>
    <t>BTP 5y</t>
  </si>
  <si>
    <t>ETF Bond</t>
  </si>
  <si>
    <t>Conto Deposito</t>
  </si>
  <si>
    <t>📥 CURVA TASSI SPOT ITALIANA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</si>
</sst>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&quot;%&quot;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i/>
      <sz val="12"/>
      <name val="Calibri"/>
      <family val="2"/>
    </font>
    <font>
      <b/>
      <sz val="14"/>
      <name val="Calibri"/>
      <family val="2"/>
    </font>
    <font>
      <b/>
      <sz val="11"/>
      <color rgb="FF1F4E78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i/>
      <sz val="10"/>
      <name val="Calibri"/>
      <family val="2"/>
    </font>
    <font>
      <u/>
      <sz val="10"/>
      <color rgb="FF0563C1"/>
      <name val="Calibri"/>
      <family val="2"/>
    </font>
    <font>
      <b/>
      <sz val="16"/>
      <color rgb="FFFFFFFF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i/>
      <sz val="11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  <fill>
      <patternFill patternType="solid">
        <fgColor rgb="FFC6E0B4"/>
        <bgColor rgb="FFC6E0B4"/>
      </patternFill>
    </fill>
    <fill>
      <patternFill patternType="solid">
        <fgColor rgb="FFFF6B6B"/>
        <bgColor rgb="FFFF6B6B"/>
      </patternFill>
    </fill>
    <fill>
      <patternFill patternType="solid">
        <fgColor rgb="FFFFE699"/>
        <bgColor rgb="FFFFE699"/>
      </patternFill>
    </fill>
    <fill>
      <patternFill patternType="solid">
        <fgColor rgb="FF4472C4"/>
        <bgColor rgb="FF4472C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4" fontId="0" fillId="3" borderId="0" xfId="0" applyNumberFormat="1" applyFill="1"/>
    <xf numFmtId="0" fontId="11" fillId="0" borderId="0" xfId="0" applyFont="1"/>
    <xf numFmtId="2" fontId="0" fillId="3" borderId="0" xfId="0" applyNumberFormat="1" applyFill="1"/>
    <xf numFmtId="4" fontId="0" fillId="5" borderId="0" xfId="0" applyNumberFormat="1" applyFill="1"/>
    <xf numFmtId="4" fontId="11" fillId="5" borderId="0" xfId="0" applyNumberFormat="1" applyFont="1" applyFill="1"/>
    <xf numFmtId="164" fontId="0" fillId="5" borderId="0" xfId="0" applyNumberFormat="1" applyFill="1"/>
    <xf numFmtId="4" fontId="0" fillId="4" borderId="0" xfId="0" applyNumberFormat="1" applyFill="1"/>
    <xf numFmtId="2" fontId="0" fillId="4" borderId="0" xfId="0" applyNumberFormat="1" applyFill="1"/>
    <xf numFmtId="0" fontId="0" fillId="4" borderId="0" xfId="0" applyFill="1"/>
    <xf numFmtId="0" fontId="10" fillId="7" borderId="0" xfId="0" applyFont="1" applyFill="1"/>
    <xf numFmtId="4" fontId="11" fillId="0" borderId="0" xfId="0" applyNumberFormat="1" applyFont="1"/>
    <xf numFmtId="164" fontId="11" fillId="0" borderId="0" xfId="0" applyNumberFormat="1" applyFont="1"/>
    <xf numFmtId="2" fontId="14" fillId="5" borderId="0" xfId="0" applyNumberFormat="1" applyFont="1" applyFill="1"/>
    <xf numFmtId="0" fontId="0" fillId="3" borderId="0" xfId="0" applyFill="1"/>
    <xf numFmtId="164" fontId="0" fillId="0" borderId="0" xfId="0" applyNumberFormat="1"/>
    <xf numFmtId="0" fontId="13" fillId="8" borderId="0" xfId="0" applyFont="1" applyFill="1"/>
    <xf numFmtId="0" fontId="14" fillId="5" borderId="0" xfId="0" applyFont="1" applyFill="1"/>
    <xf numFmtId="2" fontId="0" fillId="0" borderId="0" xfId="0" applyNumberFormat="1"/>
    <xf numFmtId="164" fontId="10" fillId="5" borderId="0" xfId="0" applyNumberFormat="1" applyFont="1" applyFill="1"/>
    <xf numFmtId="10" fontId="0" fillId="0" borderId="0" xfId="0" applyNumberFormat="1"/>
    <xf numFmtId="4" fontId="0" fillId="0" borderId="0" xfId="0" applyNumberFormat="1"/>
    <xf numFmtId="0" fontId="2" fillId="0" borderId="0" xfId="0" applyFont="1"/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9" fillId="2" borderId="0" xfId="0" applyFont="1" applyFill="1"/>
    <xf numFmtId="0" fontId="11" fillId="0" borderId="0" xfId="0" applyFont="1"/>
    <xf numFmtId="0" fontId="12" fillId="6" borderId="0" xfId="0" applyFont="1" applyFill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16" fillId="0" borderId="0" xfId="0" applyFont="1"/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A8" sqref="A8"/>
    </sheetView>
  </sheetViews>
  <sheetFormatPr defaultRowHeight="15" x14ac:dyDescent="0.25"/>
  <cols>
    <col min="1" max="1" width="30" customWidth="1"/>
    <col min="3" max="3" width="40" customWidth="1"/>
    <col min="6" max="6" width="15" customWidth="1"/>
  </cols>
  <sheetData>
    <row r="1" spans="1:6" ht="30" customHeight="1" x14ac:dyDescent="0.35">
      <c r="A1" s="31" t="s">
        <v>0</v>
      </c>
      <c r="B1" s="30"/>
      <c r="C1" s="30"/>
      <c r="D1" s="30"/>
      <c r="E1" s="30"/>
      <c r="F1" s="30"/>
    </row>
    <row r="2" spans="1:6" ht="15.75" x14ac:dyDescent="0.25">
      <c r="A2" s="29" t="s">
        <v>1</v>
      </c>
      <c r="B2" s="30"/>
      <c r="C2" s="30"/>
      <c r="D2" s="30"/>
      <c r="E2" s="30"/>
      <c r="F2" s="30"/>
    </row>
    <row r="4" spans="1:6" ht="18.75" x14ac:dyDescent="0.3">
      <c r="A4" s="1" t="s">
        <v>2</v>
      </c>
    </row>
    <row r="5" spans="1:6" x14ac:dyDescent="0.25">
      <c r="A5" t="s">
        <v>3</v>
      </c>
      <c r="C5" t="s">
        <v>4</v>
      </c>
      <c r="F5" t="s">
        <v>5</v>
      </c>
    </row>
    <row r="6" spans="1:6" x14ac:dyDescent="0.25">
      <c r="A6" s="2" t="s">
        <v>6</v>
      </c>
      <c r="C6" t="s">
        <v>7</v>
      </c>
      <c r="F6" t="s">
        <v>8</v>
      </c>
    </row>
    <row r="7" spans="1:6" x14ac:dyDescent="0.25">
      <c r="A7" s="2" t="s">
        <v>9</v>
      </c>
      <c r="C7" t="s">
        <v>10</v>
      </c>
      <c r="F7" t="s">
        <v>11</v>
      </c>
    </row>
    <row r="8" spans="1:6" x14ac:dyDescent="0.25">
      <c r="A8" s="2" t="s">
        <v>12</v>
      </c>
      <c r="C8" t="s">
        <v>13</v>
      </c>
      <c r="F8" t="s">
        <v>14</v>
      </c>
    </row>
    <row r="9" spans="1:6" x14ac:dyDescent="0.25">
      <c r="A9" s="2" t="s">
        <v>15</v>
      </c>
      <c r="C9" t="s">
        <v>16</v>
      </c>
      <c r="F9" t="s">
        <v>14</v>
      </c>
    </row>
    <row r="10" spans="1:6" x14ac:dyDescent="0.25">
      <c r="A10" s="2" t="s">
        <v>17</v>
      </c>
      <c r="C10" t="s">
        <v>18</v>
      </c>
      <c r="F10" t="s">
        <v>14</v>
      </c>
    </row>
    <row r="11" spans="1:6" x14ac:dyDescent="0.25">
      <c r="A11" s="2" t="s">
        <v>19</v>
      </c>
      <c r="C11" t="s">
        <v>20</v>
      </c>
      <c r="F11" t="s">
        <v>11</v>
      </c>
    </row>
    <row r="12" spans="1:6" x14ac:dyDescent="0.25">
      <c r="A12" s="2" t="s">
        <v>21</v>
      </c>
      <c r="C12" t="s">
        <v>22</v>
      </c>
      <c r="F12" t="s">
        <v>11</v>
      </c>
    </row>
    <row r="13" spans="1:6" ht="18.75" x14ac:dyDescent="0.3">
      <c r="A13" s="1" t="s">
        <v>23</v>
      </c>
    </row>
    <row r="14" spans="1:6" x14ac:dyDescent="0.25">
      <c r="A14" s="3" t="s">
        <v>24</v>
      </c>
    </row>
    <row r="15" spans="1:6" x14ac:dyDescent="0.25">
      <c r="A15" s="3" t="s">
        <v>25</v>
      </c>
    </row>
    <row r="16" spans="1:6" x14ac:dyDescent="0.25">
      <c r="A16" s="3" t="s">
        <v>26</v>
      </c>
    </row>
    <row r="17" spans="1:6" x14ac:dyDescent="0.25">
      <c r="A17" s="3" t="s">
        <v>27</v>
      </c>
    </row>
    <row r="18" spans="1:6" x14ac:dyDescent="0.25">
      <c r="A18" s="3" t="s">
        <v>28</v>
      </c>
    </row>
    <row r="20" spans="1:6" ht="15.75" x14ac:dyDescent="0.25">
      <c r="A20" s="4" t="s">
        <v>29</v>
      </c>
    </row>
    <row r="21" spans="1:6" x14ac:dyDescent="0.25">
      <c r="A21" s="32" t="s">
        <v>30</v>
      </c>
      <c r="B21" s="30"/>
      <c r="C21" s="30"/>
      <c r="D21" s="30"/>
      <c r="E21" s="30"/>
      <c r="F21" s="30"/>
    </row>
    <row r="22" spans="1:6" x14ac:dyDescent="0.25">
      <c r="A22" s="30"/>
      <c r="B22" s="30"/>
      <c r="C22" s="30"/>
      <c r="D22" s="30"/>
      <c r="E22" s="30"/>
      <c r="F22" s="30"/>
    </row>
    <row r="24" spans="1:6" x14ac:dyDescent="0.25">
      <c r="A24" s="5" t="s">
        <v>31</v>
      </c>
    </row>
    <row r="25" spans="1:6" x14ac:dyDescent="0.25">
      <c r="A25" s="6" t="s">
        <v>32</v>
      </c>
    </row>
  </sheetData>
  <mergeCells count="3">
    <mergeCell ref="A2:F2"/>
    <mergeCell ref="A1:F1"/>
    <mergeCell ref="A21:F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F14" sqref="F14"/>
    </sheetView>
  </sheetViews>
  <sheetFormatPr defaultRowHeight="15" x14ac:dyDescent="0.25"/>
  <cols>
    <col min="1" max="1" width="30" customWidth="1"/>
    <col min="2" max="2" width="15" customWidth="1"/>
    <col min="4" max="4" width="30" customWidth="1"/>
    <col min="5" max="5" width="15" customWidth="1"/>
  </cols>
  <sheetData>
    <row r="1" spans="1:8" ht="24.95" customHeight="1" x14ac:dyDescent="0.35">
      <c r="A1" s="33" t="s">
        <v>33</v>
      </c>
      <c r="B1" s="30"/>
      <c r="C1" s="30"/>
      <c r="D1" s="30"/>
      <c r="E1" s="30"/>
      <c r="F1" s="30"/>
      <c r="G1" s="30"/>
      <c r="H1" s="30"/>
    </row>
    <row r="3" spans="1:8" ht="15.75" x14ac:dyDescent="0.25">
      <c r="A3" s="36" t="s">
        <v>34</v>
      </c>
      <c r="B3" s="30"/>
      <c r="C3" s="30"/>
      <c r="D3" s="36" t="s">
        <v>35</v>
      </c>
      <c r="E3" s="30"/>
      <c r="F3" s="30"/>
    </row>
    <row r="5" spans="1:8" x14ac:dyDescent="0.25">
      <c r="A5" t="s">
        <v>36</v>
      </c>
      <c r="B5" s="8">
        <v>100000</v>
      </c>
      <c r="D5" s="34" t="s">
        <v>37</v>
      </c>
      <c r="E5" s="30"/>
      <c r="F5" s="30"/>
    </row>
    <row r="6" spans="1:8" x14ac:dyDescent="0.25">
      <c r="A6" t="s">
        <v>38</v>
      </c>
      <c r="B6" s="10">
        <v>5</v>
      </c>
      <c r="D6" t="s">
        <v>39</v>
      </c>
      <c r="E6" s="11">
        <f>B15*POWER(1+B7/100,B6)</f>
        <v>115628.01265716019</v>
      </c>
    </row>
    <row r="7" spans="1:8" x14ac:dyDescent="0.25">
      <c r="A7" t="s">
        <v>40</v>
      </c>
      <c r="B7" s="10">
        <v>3.05</v>
      </c>
      <c r="D7" t="s">
        <v>41</v>
      </c>
      <c r="E7" s="11">
        <f>E6-B15</f>
        <v>16128.012657160187</v>
      </c>
    </row>
    <row r="8" spans="1:8" x14ac:dyDescent="0.25">
      <c r="A8" t="s">
        <v>42</v>
      </c>
      <c r="B8" s="10">
        <v>0.15</v>
      </c>
      <c r="D8" t="s">
        <v>43</v>
      </c>
      <c r="E8" s="11">
        <f>E7*B17</f>
        <v>4193.2832908616483</v>
      </c>
    </row>
    <row r="9" spans="1:8" x14ac:dyDescent="0.25">
      <c r="A9" t="s">
        <v>44</v>
      </c>
      <c r="B9" s="10">
        <v>0.7</v>
      </c>
      <c r="D9" t="s">
        <v>45</v>
      </c>
      <c r="E9" s="12">
        <f>E6-E8</f>
        <v>111434.72936629853</v>
      </c>
    </row>
    <row r="10" spans="1:8" x14ac:dyDescent="0.25">
      <c r="A10" t="s">
        <v>46</v>
      </c>
      <c r="B10" s="10">
        <v>2.9</v>
      </c>
      <c r="D10" t="s">
        <v>47</v>
      </c>
      <c r="E10" s="13">
        <f>(E9-B5)/B5*100</f>
        <v>11.434729366298532</v>
      </c>
    </row>
    <row r="11" spans="1:8" x14ac:dyDescent="0.25">
      <c r="A11" t="s">
        <v>48</v>
      </c>
      <c r="B11" s="10">
        <v>2.2000000000000002</v>
      </c>
      <c r="D11" t="s">
        <v>49</v>
      </c>
      <c r="E11" s="13">
        <f>(POWER(E9/B5,1/B6)-1)*100</f>
        <v>2.1889913585473098</v>
      </c>
    </row>
    <row r="13" spans="1:8" ht="15.75" x14ac:dyDescent="0.25">
      <c r="A13" s="7" t="s">
        <v>50</v>
      </c>
      <c r="D13" s="34" t="s">
        <v>51</v>
      </c>
      <c r="E13" s="30"/>
      <c r="F13" s="30"/>
    </row>
    <row r="14" spans="1:8" x14ac:dyDescent="0.25">
      <c r="A14" t="s">
        <v>52</v>
      </c>
      <c r="B14" s="14">
        <f>B5*0.005</f>
        <v>500</v>
      </c>
      <c r="D14" t="s">
        <v>39</v>
      </c>
      <c r="E14" s="11">
        <f>B5*POWER(1+B16/100,B6)</f>
        <v>119343.50185461761</v>
      </c>
    </row>
    <row r="15" spans="1:8" x14ac:dyDescent="0.25">
      <c r="A15" t="s">
        <v>53</v>
      </c>
      <c r="B15" s="14">
        <f>B5-B14</f>
        <v>99500</v>
      </c>
      <c r="D15" t="s">
        <v>41</v>
      </c>
      <c r="E15" s="11">
        <f>E14-B5</f>
        <v>19343.501854617614</v>
      </c>
    </row>
    <row r="16" spans="1:8" x14ac:dyDescent="0.25">
      <c r="A16" t="s">
        <v>54</v>
      </c>
      <c r="B16" s="15">
        <f>B7-B8+B9</f>
        <v>3.5999999999999996</v>
      </c>
      <c r="D16" t="s">
        <v>43</v>
      </c>
      <c r="E16" s="11">
        <f>E15*B17</f>
        <v>5029.3104822005798</v>
      </c>
    </row>
    <row r="17" spans="1:6" x14ac:dyDescent="0.25">
      <c r="A17" t="s">
        <v>55</v>
      </c>
      <c r="B17" s="16">
        <v>0.26</v>
      </c>
      <c r="D17" t="s">
        <v>45</v>
      </c>
      <c r="E17" s="12">
        <f>E14-E16</f>
        <v>114314.19137241703</v>
      </c>
    </row>
    <row r="18" spans="1:6" x14ac:dyDescent="0.25">
      <c r="D18" t="s">
        <v>47</v>
      </c>
      <c r="E18" s="13">
        <f>(E17-B5)/B5*100</f>
        <v>14.314191372417028</v>
      </c>
    </row>
    <row r="19" spans="1:6" x14ac:dyDescent="0.25">
      <c r="D19" t="s">
        <v>49</v>
      </c>
      <c r="E19" s="13">
        <f>(POWER(E17/B5,1/B6)-1)*100</f>
        <v>2.7117265726161355</v>
      </c>
    </row>
    <row r="20" spans="1:6" ht="18.75" x14ac:dyDescent="0.3">
      <c r="A20" s="35" t="s">
        <v>56</v>
      </c>
      <c r="B20" s="30"/>
    </row>
    <row r="21" spans="1:6" ht="15.75" x14ac:dyDescent="0.25">
      <c r="A21" t="s">
        <v>57</v>
      </c>
      <c r="B21" s="17" t="str">
        <f>IF(E9&gt;E17,IF(E9&gt;E24,"Obbligazione","Conto Deposito"),IF(E17&gt;E24,"ETF","Conto Deposito"))</f>
        <v>ETF</v>
      </c>
      <c r="D21" s="34" t="s">
        <v>58</v>
      </c>
      <c r="E21" s="30"/>
      <c r="F21" s="30"/>
    </row>
    <row r="22" spans="1:6" x14ac:dyDescent="0.25">
      <c r="A22" t="s">
        <v>59</v>
      </c>
      <c r="B22" s="18">
        <f>E17-E9</f>
        <v>2879.4620061184978</v>
      </c>
      <c r="D22" t="s">
        <v>39</v>
      </c>
      <c r="E22" s="11">
        <f>B5*POWER(1+B10*(1-B17)/100,B6)</f>
        <v>111200.52110795706</v>
      </c>
    </row>
    <row r="23" spans="1:6" x14ac:dyDescent="0.25">
      <c r="A23" t="s">
        <v>60</v>
      </c>
      <c r="B23" s="19">
        <f>E19-E11</f>
        <v>0.52273521406882573</v>
      </c>
      <c r="D23" t="s">
        <v>61</v>
      </c>
      <c r="E23" s="11">
        <f>E22-B5</f>
        <v>11200.521107957058</v>
      </c>
    </row>
    <row r="24" spans="1:6" x14ac:dyDescent="0.25">
      <c r="D24" t="s">
        <v>45</v>
      </c>
      <c r="E24" s="12">
        <f>E22</f>
        <v>111200.52110795706</v>
      </c>
    </row>
    <row r="25" spans="1:6" x14ac:dyDescent="0.25">
      <c r="D25" t="s">
        <v>47</v>
      </c>
      <c r="E25" s="13">
        <f>(E24-B5)/B5*100</f>
        <v>11.200521107957059</v>
      </c>
    </row>
    <row r="26" spans="1:6" x14ac:dyDescent="0.25">
      <c r="D26" t="s">
        <v>49</v>
      </c>
      <c r="E26" s="13">
        <f>(POWER(E24/B5,1/B6)-1)*100</f>
        <v>2.1460000000000035</v>
      </c>
    </row>
  </sheetData>
  <mergeCells count="7">
    <mergeCell ref="A1:H1"/>
    <mergeCell ref="D21:F21"/>
    <mergeCell ref="A20:B20"/>
    <mergeCell ref="D13:F13"/>
    <mergeCell ref="D5:F5"/>
    <mergeCell ref="D3:F3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K17" sqref="K17"/>
    </sheetView>
  </sheetViews>
  <sheetFormatPr defaultRowHeight="15" x14ac:dyDescent="0.25"/>
  <cols>
    <col min="1" max="1" width="25" customWidth="1"/>
    <col min="2" max="3" width="12" customWidth="1"/>
    <col min="4" max="4" width="25" customWidth="1"/>
    <col min="5" max="5" width="12" customWidth="1"/>
  </cols>
  <sheetData>
    <row r="1" spans="1:8" ht="21" x14ac:dyDescent="0.35">
      <c r="A1" s="33" t="s">
        <v>62</v>
      </c>
      <c r="B1" s="30"/>
      <c r="C1" s="30"/>
      <c r="D1" s="30"/>
      <c r="E1" s="30"/>
      <c r="F1" s="30"/>
      <c r="G1" s="30"/>
      <c r="H1" s="30"/>
    </row>
    <row r="3" spans="1:8" ht="15.75" x14ac:dyDescent="0.25">
      <c r="A3" s="7" t="s">
        <v>63</v>
      </c>
      <c r="D3" s="7" t="s">
        <v>64</v>
      </c>
    </row>
    <row r="4" spans="1:8" x14ac:dyDescent="0.25">
      <c r="A4" t="s">
        <v>65</v>
      </c>
      <c r="B4" s="8">
        <v>1000</v>
      </c>
      <c r="D4" t="s">
        <v>66</v>
      </c>
      <c r="E4" s="20">
        <f>SUM(F12:F21)</f>
        <v>2.6886073783202873</v>
      </c>
    </row>
    <row r="5" spans="1:8" x14ac:dyDescent="0.25">
      <c r="A5" t="s">
        <v>67</v>
      </c>
      <c r="B5" s="21">
        <v>3</v>
      </c>
      <c r="D5" t="s">
        <v>68</v>
      </c>
      <c r="E5" s="20">
        <f>E4/(1+B6/100/B8)</f>
        <v>2.648874264354963</v>
      </c>
    </row>
    <row r="6" spans="1:8" x14ac:dyDescent="0.25">
      <c r="A6" t="s">
        <v>69</v>
      </c>
      <c r="B6" s="21">
        <v>3</v>
      </c>
    </row>
    <row r="7" spans="1:8" x14ac:dyDescent="0.25">
      <c r="A7" t="s">
        <v>70</v>
      </c>
      <c r="B7" s="21">
        <v>5</v>
      </c>
      <c r="D7" s="34" t="s">
        <v>71</v>
      </c>
      <c r="E7" s="30"/>
      <c r="F7" s="30"/>
    </row>
    <row r="8" spans="1:8" x14ac:dyDescent="0.25">
      <c r="A8" t="s">
        <v>72</v>
      </c>
      <c r="B8" s="21">
        <v>2</v>
      </c>
      <c r="D8" t="s">
        <v>73</v>
      </c>
      <c r="E8" s="22">
        <f>-E5</f>
        <v>-2.648874264354963</v>
      </c>
    </row>
    <row r="9" spans="1:8" x14ac:dyDescent="0.25">
      <c r="D9" t="s">
        <v>74</v>
      </c>
      <c r="E9" s="22">
        <f>E5</f>
        <v>2.648874264354963</v>
      </c>
    </row>
    <row r="10" spans="1:8" ht="15.75" x14ac:dyDescent="0.25">
      <c r="A10" s="7" t="s">
        <v>75</v>
      </c>
    </row>
    <row r="11" spans="1:8" x14ac:dyDescent="0.25">
      <c r="A11" s="23" t="s">
        <v>76</v>
      </c>
      <c r="B11" s="23" t="s">
        <v>77</v>
      </c>
      <c r="C11" s="23" t="s">
        <v>78</v>
      </c>
      <c r="D11" s="23" t="s">
        <v>79</v>
      </c>
      <c r="E11" s="23" t="s">
        <v>80</v>
      </c>
      <c r="F11" s="23" t="s">
        <v>81</v>
      </c>
    </row>
    <row r="12" spans="1:8" x14ac:dyDescent="0.25">
      <c r="A12">
        <v>1</v>
      </c>
      <c r="B12">
        <f>1/B8</f>
        <v>0.5</v>
      </c>
      <c r="C12">
        <f>B4*B5/100/B8</f>
        <v>15</v>
      </c>
      <c r="D12">
        <f>C12/POWER(1+B6/100/B8,1)</f>
        <v>14.77832512315271</v>
      </c>
      <c r="E12">
        <f>D12/B23</f>
        <v>0.10683170233008774</v>
      </c>
      <c r="F12">
        <f t="shared" ref="F12:F21" si="0">E12*B12</f>
        <v>5.3415851165043868E-2</v>
      </c>
    </row>
    <row r="13" spans="1:8" x14ac:dyDescent="0.25">
      <c r="A13">
        <v>2</v>
      </c>
      <c r="B13">
        <f>2/B8</f>
        <v>1</v>
      </c>
      <c r="C13">
        <f>B4*B5/100/B8</f>
        <v>15</v>
      </c>
      <c r="D13">
        <f>C13/POWER(1+B6/100/B8,2)</f>
        <v>14.559926229707107</v>
      </c>
      <c r="E13">
        <f>D13/B23</f>
        <v>0.10525290869959386</v>
      </c>
      <c r="F13">
        <f t="shared" si="0"/>
        <v>0.10525290869959386</v>
      </c>
    </row>
    <row r="14" spans="1:8" x14ac:dyDescent="0.25">
      <c r="A14">
        <v>3</v>
      </c>
      <c r="B14">
        <f>3/B8</f>
        <v>1.5</v>
      </c>
      <c r="C14">
        <f>B4*B5/100/B8</f>
        <v>15</v>
      </c>
      <c r="D14">
        <f>C14/POWER(1+B6/100/B8,3)</f>
        <v>14.344754906115378</v>
      </c>
      <c r="E14">
        <f>D14/B23</f>
        <v>0.10369744699467377</v>
      </c>
      <c r="F14">
        <f t="shared" si="0"/>
        <v>0.15554617049201067</v>
      </c>
    </row>
    <row r="15" spans="1:8" x14ac:dyDescent="0.25">
      <c r="A15">
        <v>4</v>
      </c>
      <c r="B15">
        <f>4/B8</f>
        <v>2</v>
      </c>
      <c r="C15">
        <f>B4*B5/100/B8</f>
        <v>15</v>
      </c>
      <c r="D15">
        <f>C15/POWER(1+B6/100/B8,4)</f>
        <v>14.132763454300868</v>
      </c>
      <c r="E15">
        <f>D15/B23</f>
        <v>0.10216497240854561</v>
      </c>
      <c r="F15">
        <f t="shared" si="0"/>
        <v>0.20432994481709121</v>
      </c>
    </row>
    <row r="16" spans="1:8" x14ac:dyDescent="0.25">
      <c r="A16">
        <v>5</v>
      </c>
      <c r="B16">
        <f>5/B8</f>
        <v>2.5</v>
      </c>
      <c r="C16">
        <f>B4*B5/100/B8</f>
        <v>15</v>
      </c>
      <c r="D16">
        <f>C16/POWER(1+B6/100/B8,5)</f>
        <v>13.923904881084599</v>
      </c>
      <c r="E16">
        <f>D16/B23</f>
        <v>0.1006551452300942</v>
      </c>
      <c r="F16">
        <f t="shared" si="0"/>
        <v>0.2516378630752355</v>
      </c>
    </row>
    <row r="17" spans="1:6" x14ac:dyDescent="0.25">
      <c r="A17">
        <v>6</v>
      </c>
      <c r="B17">
        <f>6/B8</f>
        <v>3</v>
      </c>
      <c r="C17">
        <f>B4*B5/100/B8</f>
        <v>15</v>
      </c>
      <c r="D17">
        <f>C17/POWER(1+B6/100/B8,6)</f>
        <v>13.718132887768082</v>
      </c>
      <c r="E17">
        <f>D17/B23</f>
        <v>9.9167630768565732E-2</v>
      </c>
      <c r="F17">
        <f t="shared" si="0"/>
        <v>0.29750289230569721</v>
      </c>
    </row>
    <row r="18" spans="1:6" x14ac:dyDescent="0.25">
      <c r="A18">
        <v>7</v>
      </c>
      <c r="B18">
        <f>7/B8</f>
        <v>3.5</v>
      </c>
      <c r="C18">
        <f>B4*B5/100/B8</f>
        <v>15</v>
      </c>
      <c r="D18">
        <f>C18/POWER(1+B6/100/B8,7)</f>
        <v>13.515401859870034</v>
      </c>
      <c r="E18">
        <f>D18/B23</f>
        <v>9.7702099279375121E-2</v>
      </c>
      <c r="F18">
        <f t="shared" si="0"/>
        <v>0.34195734747781292</v>
      </c>
    </row>
    <row r="19" spans="1:6" x14ac:dyDescent="0.25">
      <c r="A19">
        <v>8</v>
      </c>
      <c r="B19">
        <f>8/B8</f>
        <v>4</v>
      </c>
      <c r="C19">
        <f>B4*B5/100/B8</f>
        <v>15</v>
      </c>
      <c r="D19">
        <f>C19/POWER(1+B6/100/B8,8)</f>
        <v>13.315666857014811</v>
      </c>
      <c r="E19">
        <f>D19/B23</f>
        <v>9.6258225891009977E-2</v>
      </c>
      <c r="F19">
        <f t="shared" si="0"/>
        <v>0.38503290356403991</v>
      </c>
    </row>
    <row r="20" spans="1:6" x14ac:dyDescent="0.25">
      <c r="A20">
        <v>9</v>
      </c>
      <c r="B20">
        <f>9/B8</f>
        <v>4.5</v>
      </c>
      <c r="C20">
        <f>B4*B5/100/B8</f>
        <v>15</v>
      </c>
      <c r="D20">
        <f>C20/POWER(1+B6/100/B8,9)</f>
        <v>13.118883602970259</v>
      </c>
      <c r="E20">
        <f>D20/B23</f>
        <v>9.4835690533014758E-2</v>
      </c>
      <c r="F20">
        <f t="shared" si="0"/>
        <v>0.42676060739856642</v>
      </c>
    </row>
    <row r="21" spans="1:6" x14ac:dyDescent="0.25">
      <c r="A21">
        <v>10</v>
      </c>
      <c r="B21">
        <f>10/B8</f>
        <v>5</v>
      </c>
      <c r="C21" s="28">
        <f>B4*B5/100/B8</f>
        <v>15</v>
      </c>
      <c r="D21">
        <f>C21/POWER(1+B6/100/B8,10)</f>
        <v>12.925008475832769</v>
      </c>
      <c r="E21">
        <f>D21/B23</f>
        <v>9.3434177865039186E-2</v>
      </c>
      <c r="F21">
        <f t="shared" si="0"/>
        <v>0.4671708893251959</v>
      </c>
    </row>
    <row r="23" spans="1:6" x14ac:dyDescent="0.25">
      <c r="A23" t="s">
        <v>82</v>
      </c>
      <c r="B23" s="12">
        <f>SUM(D12:D21)</f>
        <v>138.33276827781663</v>
      </c>
    </row>
  </sheetData>
  <mergeCells count="2">
    <mergeCell ref="D7:F7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workbookViewId="0">
      <selection activeCell="A4" sqref="A4"/>
    </sheetView>
  </sheetViews>
  <sheetFormatPr defaultRowHeight="15" x14ac:dyDescent="0.25"/>
  <cols>
    <col min="1" max="2" width="15" customWidth="1"/>
    <col min="4" max="5" width="12" customWidth="1"/>
    <col min="6" max="6" width="18" customWidth="1"/>
  </cols>
  <sheetData>
    <row r="1" spans="1:6" ht="21" x14ac:dyDescent="0.35">
      <c r="A1" s="33" t="s">
        <v>83</v>
      </c>
      <c r="B1" s="30"/>
      <c r="C1" s="30"/>
      <c r="D1" s="30"/>
      <c r="E1" s="30"/>
      <c r="F1" s="30"/>
    </row>
    <row r="3" spans="1:6" ht="15.75" x14ac:dyDescent="0.25">
      <c r="A3" s="7" t="s">
        <v>154</v>
      </c>
      <c r="D3" s="7" t="s">
        <v>84</v>
      </c>
    </row>
    <row r="4" spans="1:6" x14ac:dyDescent="0.25">
      <c r="A4" s="9" t="s">
        <v>85</v>
      </c>
      <c r="B4" s="9" t="s">
        <v>86</v>
      </c>
      <c r="D4" s="9" t="s">
        <v>87</v>
      </c>
      <c r="E4" s="9" t="s">
        <v>88</v>
      </c>
      <c r="F4" s="9" t="s">
        <v>89</v>
      </c>
    </row>
    <row r="5" spans="1:6" x14ac:dyDescent="0.25">
      <c r="A5" t="s">
        <v>90</v>
      </c>
      <c r="B5" s="21">
        <v>2.4500000000000002</v>
      </c>
      <c r="D5">
        <v>1</v>
      </c>
      <c r="E5">
        <v>2</v>
      </c>
      <c r="F5" s="13">
        <f>(POWER((1+B6/100),2)/POWER((1+B5/100),1))^(1/(2-1))-1</f>
        <v>2.910516349438752E-2</v>
      </c>
    </row>
    <row r="6" spans="1:6" x14ac:dyDescent="0.25">
      <c r="A6" t="s">
        <v>91</v>
      </c>
      <c r="B6" s="21">
        <v>2.68</v>
      </c>
      <c r="D6">
        <v>2</v>
      </c>
      <c r="E6">
        <v>3</v>
      </c>
      <c r="F6" s="13">
        <f>(POWER((1+B7/100),3)/POWER((1+B6/100),2))^(1/(3-2))-1</f>
        <v>3.1908448368492603E-2</v>
      </c>
    </row>
    <row r="7" spans="1:6" x14ac:dyDescent="0.25">
      <c r="A7" t="s">
        <v>92</v>
      </c>
      <c r="B7" s="21">
        <v>2.85</v>
      </c>
      <c r="D7">
        <v>3</v>
      </c>
      <c r="E7">
        <v>5</v>
      </c>
      <c r="F7" s="13">
        <f>(POWER((1+B8/100),5)/POWER((1+B7/100),3))^(1/(5-3))-1</f>
        <v>3.3507294535861654E-2</v>
      </c>
    </row>
    <row r="8" spans="1:6" x14ac:dyDescent="0.25">
      <c r="A8" t="s">
        <v>93</v>
      </c>
      <c r="B8" s="21">
        <v>3.05</v>
      </c>
      <c r="D8">
        <v>5</v>
      </c>
      <c r="E8">
        <v>7</v>
      </c>
      <c r="F8" s="13">
        <f>(POWER((1+B9/100),7)/POWER((1+B8/100),5))^(1/(7-5))-1</f>
        <v>3.6462279651868323E-2</v>
      </c>
    </row>
    <row r="9" spans="1:6" x14ac:dyDescent="0.25">
      <c r="A9" t="s">
        <v>94</v>
      </c>
      <c r="B9" s="21">
        <v>3.22</v>
      </c>
      <c r="D9">
        <v>7</v>
      </c>
      <c r="E9">
        <v>10</v>
      </c>
      <c r="F9" s="13">
        <f>(POWER((1+B10/100),10)/POWER((1+B9/100),7))^(1/(10-7))-1</f>
        <v>3.7542984965864612E-2</v>
      </c>
    </row>
    <row r="10" spans="1:6" x14ac:dyDescent="0.25">
      <c r="A10" t="s">
        <v>95</v>
      </c>
      <c r="B10" s="21">
        <v>3.38</v>
      </c>
      <c r="D10">
        <v>10</v>
      </c>
      <c r="E10">
        <v>30</v>
      </c>
      <c r="F10" s="13">
        <f>(POWER((1+B11/100),30)/POWER((1+B10/100),10))^(1/(30-10))-1</f>
        <v>3.9354962944279759E-2</v>
      </c>
    </row>
    <row r="11" spans="1:6" x14ac:dyDescent="0.25">
      <c r="A11" t="s">
        <v>96</v>
      </c>
      <c r="B11" s="21">
        <v>3.75</v>
      </c>
    </row>
    <row r="13" spans="1:6" x14ac:dyDescent="0.25">
      <c r="D13" s="37" t="s">
        <v>71</v>
      </c>
      <c r="E13" s="30"/>
      <c r="F13" s="30"/>
    </row>
    <row r="14" spans="1:6" x14ac:dyDescent="0.25">
      <c r="D14" s="32" t="s">
        <v>97</v>
      </c>
      <c r="E14" s="30"/>
      <c r="F14" s="30"/>
    </row>
    <row r="15" spans="1:6" x14ac:dyDescent="0.25">
      <c r="D15" s="30"/>
      <c r="E15" s="30"/>
      <c r="F15" s="30"/>
    </row>
    <row r="16" spans="1:6" x14ac:dyDescent="0.25">
      <c r="D16" s="38" t="s">
        <v>98</v>
      </c>
      <c r="E16" s="30"/>
      <c r="F16" s="30"/>
    </row>
  </sheetData>
  <mergeCells count="4">
    <mergeCell ref="D13:F13"/>
    <mergeCell ref="A1:F1"/>
    <mergeCell ref="D16:F16"/>
    <mergeCell ref="D14:F1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>
      <selection activeCell="D13" sqref="D13"/>
    </sheetView>
  </sheetViews>
  <sheetFormatPr defaultRowHeight="15" x14ac:dyDescent="0.25"/>
  <cols>
    <col min="1" max="1" width="56.140625" bestFit="1" customWidth="1"/>
  </cols>
  <sheetData>
    <row r="1" spans="1:8" ht="21" x14ac:dyDescent="0.35">
      <c r="A1" s="33" t="s">
        <v>99</v>
      </c>
      <c r="B1" s="30"/>
      <c r="C1" s="30"/>
      <c r="D1" s="30"/>
      <c r="E1" s="30"/>
      <c r="F1" s="30"/>
      <c r="G1" s="30"/>
      <c r="H1" s="30"/>
    </row>
    <row r="3" spans="1:8" ht="15.75" x14ac:dyDescent="0.25">
      <c r="A3" s="7" t="s">
        <v>100</v>
      </c>
    </row>
    <row r="4" spans="1:8" x14ac:dyDescent="0.25">
      <c r="A4" t="s">
        <v>101</v>
      </c>
      <c r="B4" s="21">
        <v>3</v>
      </c>
    </row>
    <row r="5" spans="1:8" x14ac:dyDescent="0.25">
      <c r="A5" t="s">
        <v>102</v>
      </c>
      <c r="B5" s="21">
        <v>0.8</v>
      </c>
    </row>
    <row r="6" spans="1:8" x14ac:dyDescent="0.25">
      <c r="A6" t="s">
        <v>103</v>
      </c>
      <c r="B6" s="21">
        <v>0.1</v>
      </c>
    </row>
    <row r="7" spans="1:8" x14ac:dyDescent="0.25">
      <c r="A7" t="s">
        <v>104</v>
      </c>
      <c r="B7" s="21">
        <v>5</v>
      </c>
    </row>
    <row r="9" spans="1:8" x14ac:dyDescent="0.25">
      <c r="A9" s="39" t="s">
        <v>105</v>
      </c>
      <c r="B9" s="30"/>
      <c r="C9" s="30"/>
      <c r="D9" s="30"/>
      <c r="E9" s="30"/>
    </row>
    <row r="10" spans="1:8" x14ac:dyDescent="0.25">
      <c r="A10" s="39" t="s">
        <v>106</v>
      </c>
      <c r="B10" s="30"/>
      <c r="C10" s="30"/>
      <c r="D10" s="30"/>
      <c r="E10" s="30"/>
    </row>
    <row r="12" spans="1:8" ht="15.75" x14ac:dyDescent="0.25">
      <c r="A12" s="7" t="s">
        <v>107</v>
      </c>
    </row>
    <row r="13" spans="1:8" x14ac:dyDescent="0.25">
      <c r="A13" s="23" t="s">
        <v>108</v>
      </c>
      <c r="B13" s="23" t="s">
        <v>109</v>
      </c>
      <c r="C13" s="23" t="s">
        <v>110</v>
      </c>
    </row>
    <row r="14" spans="1:8" x14ac:dyDescent="0.25">
      <c r="A14" t="s">
        <v>111</v>
      </c>
      <c r="B14" t="s">
        <v>112</v>
      </c>
      <c r="C14" t="s">
        <v>113</v>
      </c>
    </row>
    <row r="15" spans="1:8" x14ac:dyDescent="0.25">
      <c r="A15" t="s">
        <v>114</v>
      </c>
      <c r="B15" t="s">
        <v>115</v>
      </c>
      <c r="C15" t="s">
        <v>116</v>
      </c>
    </row>
    <row r="16" spans="1:8" x14ac:dyDescent="0.25">
      <c r="A16" t="s">
        <v>117</v>
      </c>
      <c r="B16" t="s">
        <v>118</v>
      </c>
      <c r="C16" t="s">
        <v>119</v>
      </c>
    </row>
    <row r="18" spans="1:2" x14ac:dyDescent="0.25">
      <c r="A18" s="9" t="s">
        <v>120</v>
      </c>
    </row>
    <row r="19" spans="1:2" x14ac:dyDescent="0.25">
      <c r="A19" t="s">
        <v>121</v>
      </c>
      <c r="B19" s="24" t="s">
        <v>122</v>
      </c>
    </row>
  </sheetData>
  <mergeCells count="3">
    <mergeCell ref="A10:E10"/>
    <mergeCell ref="A9:E9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workbookViewId="0">
      <selection sqref="A1:F1"/>
    </sheetView>
  </sheetViews>
  <sheetFormatPr defaultRowHeight="15" x14ac:dyDescent="0.25"/>
  <cols>
    <col min="1" max="4" width="18" customWidth="1"/>
  </cols>
  <sheetData>
    <row r="1" spans="1:6" ht="21" x14ac:dyDescent="0.35">
      <c r="A1" s="33" t="s">
        <v>123</v>
      </c>
      <c r="B1" s="30"/>
      <c r="C1" s="30"/>
      <c r="D1" s="30"/>
      <c r="E1" s="30"/>
      <c r="F1" s="30"/>
    </row>
    <row r="3" spans="1:6" ht="15.75" x14ac:dyDescent="0.25">
      <c r="A3" s="7" t="s">
        <v>124</v>
      </c>
    </row>
    <row r="4" spans="1:6" x14ac:dyDescent="0.25">
      <c r="A4" t="s">
        <v>125</v>
      </c>
      <c r="B4" s="21">
        <v>4.8</v>
      </c>
    </row>
    <row r="5" spans="1:6" x14ac:dyDescent="0.25">
      <c r="A5" t="s">
        <v>126</v>
      </c>
      <c r="B5" s="21">
        <v>5</v>
      </c>
    </row>
    <row r="6" spans="1:6" x14ac:dyDescent="0.25">
      <c r="A6" t="s">
        <v>127</v>
      </c>
      <c r="B6" s="21">
        <v>25</v>
      </c>
    </row>
    <row r="7" spans="1:6" x14ac:dyDescent="0.25">
      <c r="A7" t="s">
        <v>128</v>
      </c>
      <c r="B7" s="21">
        <v>28</v>
      </c>
    </row>
    <row r="9" spans="1:6" ht="15.75" x14ac:dyDescent="0.25">
      <c r="A9" s="7" t="s">
        <v>129</v>
      </c>
    </row>
    <row r="10" spans="1:6" x14ac:dyDescent="0.25">
      <c r="A10" s="23" t="s">
        <v>130</v>
      </c>
      <c r="B10" s="23" t="s">
        <v>131</v>
      </c>
      <c r="C10" s="23" t="s">
        <v>132</v>
      </c>
      <c r="D10" s="23" t="s">
        <v>133</v>
      </c>
    </row>
    <row r="11" spans="1:6" x14ac:dyDescent="0.25">
      <c r="A11" s="25">
        <v>-2</v>
      </c>
      <c r="B11" s="13">
        <f>(-B4*A11/100+0.5*B6*POWER(A11/100,2))*100</f>
        <v>10.100000000000001</v>
      </c>
      <c r="C11" s="13">
        <f>(-B5*A11/100+0.5*B7*POWER(A11/100,2))*100</f>
        <v>10.56</v>
      </c>
      <c r="D11" s="22">
        <f t="shared" ref="D11:D19" si="0">C11-B11</f>
        <v>0.45999999999999908</v>
      </c>
    </row>
    <row r="12" spans="1:6" x14ac:dyDescent="0.25">
      <c r="A12" s="25">
        <v>-1.5</v>
      </c>
      <c r="B12" s="13">
        <f>(-B4*A12/100+0.5*B6*POWER(A12/100,2))*100</f>
        <v>7.4812499999999993</v>
      </c>
      <c r="C12" s="13">
        <f>(-B5*A12/100+0.5*B7*POWER(A12/100,2))*100</f>
        <v>7.8149999999999995</v>
      </c>
      <c r="D12" s="22">
        <f t="shared" si="0"/>
        <v>0.33375000000000021</v>
      </c>
    </row>
    <row r="13" spans="1:6" x14ac:dyDescent="0.25">
      <c r="A13" s="25">
        <v>-1</v>
      </c>
      <c r="B13" s="13">
        <f>(-B4*A13/100+0.5*B6*POWER(A13/100,2))*100</f>
        <v>4.9249999999999998</v>
      </c>
      <c r="C13" s="13">
        <f>(-B5*A13/100+0.5*B7*POWER(A13/100,2))*100</f>
        <v>5.1400000000000006</v>
      </c>
      <c r="D13" s="22">
        <f t="shared" si="0"/>
        <v>0.21500000000000075</v>
      </c>
    </row>
    <row r="14" spans="1:6" x14ac:dyDescent="0.25">
      <c r="A14" s="25">
        <v>-0.5</v>
      </c>
      <c r="B14" s="13">
        <f>(-B4*A14/100+0.5*B6*POWER(A14/100,2))*100</f>
        <v>2.4312499999999999</v>
      </c>
      <c r="C14" s="13">
        <f>(-B5*A14/100+0.5*B7*POWER(A14/100,2))*100</f>
        <v>2.5350000000000001</v>
      </c>
      <c r="D14" s="22">
        <f t="shared" si="0"/>
        <v>0.10375000000000023</v>
      </c>
    </row>
    <row r="15" spans="1:6" x14ac:dyDescent="0.25">
      <c r="A15" s="25">
        <v>0</v>
      </c>
      <c r="B15" s="13">
        <f>(-B4*A15/100+0.5*B6*POWER(A15/100,2))*100</f>
        <v>0</v>
      </c>
      <c r="C15" s="13">
        <f>(-B5*A15/100+0.5*B7*POWER(A15/100,2))*100</f>
        <v>0</v>
      </c>
      <c r="D15" s="22">
        <f t="shared" si="0"/>
        <v>0</v>
      </c>
    </row>
    <row r="16" spans="1:6" x14ac:dyDescent="0.25">
      <c r="A16" s="25">
        <v>0.5</v>
      </c>
      <c r="B16" s="13">
        <f>(-B4*A16/100+0.5*B6*POWER(A16/100,2))*100</f>
        <v>-2.3687499999999999</v>
      </c>
      <c r="C16" s="13">
        <f>(-B5*A16/100+0.5*B7*POWER(A16/100,2))*100</f>
        <v>-2.4650000000000003</v>
      </c>
      <c r="D16" s="22">
        <f t="shared" si="0"/>
        <v>-9.6250000000000391E-2</v>
      </c>
    </row>
    <row r="17" spans="1:4" x14ac:dyDescent="0.25">
      <c r="A17" s="25">
        <v>1</v>
      </c>
      <c r="B17" s="13">
        <f>(-B4*A17/100+0.5*B6*POWER(A17/100,2))*100</f>
        <v>-4.6749999999999998</v>
      </c>
      <c r="C17" s="13">
        <f>(-B5*A17/100+0.5*B7*POWER(A17/100,2))*100</f>
        <v>-4.8600000000000003</v>
      </c>
      <c r="D17" s="22">
        <f t="shared" si="0"/>
        <v>-0.1850000000000005</v>
      </c>
    </row>
    <row r="18" spans="1:4" x14ac:dyDescent="0.25">
      <c r="A18" s="25">
        <v>1.5</v>
      </c>
      <c r="B18" s="13">
        <f>(-B4*A18/100+0.5*B6*POWER(A18/100,2))*100</f>
        <v>-6.9187500000000002</v>
      </c>
      <c r="C18" s="13">
        <f>(-B5*A18/100+0.5*B7*POWER(A18/100,2))*100</f>
        <v>-7.1849999999999996</v>
      </c>
      <c r="D18" s="22">
        <f t="shared" si="0"/>
        <v>-0.26624999999999943</v>
      </c>
    </row>
    <row r="19" spans="1:4" x14ac:dyDescent="0.25">
      <c r="A19" s="25">
        <v>2</v>
      </c>
      <c r="B19" s="13">
        <f>(-B4*A19/100+0.5*B6*POWER(A19/100,2))*100</f>
        <v>-9.1</v>
      </c>
      <c r="C19" s="13">
        <f>(-B5*A19/100+0.5*B7*POWER(A19/100,2))*100</f>
        <v>-9.4400000000000013</v>
      </c>
      <c r="D19" s="22">
        <f t="shared" si="0"/>
        <v>-0.34000000000000163</v>
      </c>
    </row>
    <row r="21" spans="1:4" x14ac:dyDescent="0.25">
      <c r="A21" s="9" t="s">
        <v>71</v>
      </c>
    </row>
    <row r="22" spans="1:4" x14ac:dyDescent="0.25">
      <c r="A22" s="32" t="s">
        <v>134</v>
      </c>
      <c r="B22" s="30"/>
      <c r="C22" s="30"/>
      <c r="D22" s="30"/>
    </row>
  </sheetData>
  <mergeCells count="2">
    <mergeCell ref="A22:D2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workbookViewId="0">
      <selection activeCell="B25" sqref="B25"/>
    </sheetView>
  </sheetViews>
  <sheetFormatPr defaultRowHeight="15" x14ac:dyDescent="0.25"/>
  <cols>
    <col min="1" max="1" width="25" customWidth="1"/>
    <col min="2" max="4" width="15" customWidth="1"/>
  </cols>
  <sheetData>
    <row r="1" spans="1:5" ht="21" x14ac:dyDescent="0.35">
      <c r="A1" s="33" t="s">
        <v>135</v>
      </c>
      <c r="B1" s="30"/>
      <c r="C1" s="30"/>
      <c r="D1" s="30"/>
      <c r="E1" s="30"/>
    </row>
    <row r="3" spans="1:5" ht="15.75" x14ac:dyDescent="0.25">
      <c r="A3" s="7" t="s">
        <v>136</v>
      </c>
    </row>
    <row r="4" spans="1:5" x14ac:dyDescent="0.25">
      <c r="A4" t="s">
        <v>137</v>
      </c>
      <c r="B4" s="21">
        <v>3</v>
      </c>
    </row>
    <row r="5" spans="1:5" x14ac:dyDescent="0.25">
      <c r="A5" t="s">
        <v>138</v>
      </c>
      <c r="B5" s="21">
        <v>26</v>
      </c>
    </row>
    <row r="6" spans="1:5" x14ac:dyDescent="0.25">
      <c r="A6" t="s">
        <v>48</v>
      </c>
      <c r="B6" s="21">
        <v>2.2000000000000002</v>
      </c>
    </row>
    <row r="8" spans="1:5" ht="15.75" x14ac:dyDescent="0.25">
      <c r="A8" s="7" t="s">
        <v>139</v>
      </c>
    </row>
    <row r="9" spans="1:5" x14ac:dyDescent="0.25">
      <c r="A9" t="s">
        <v>140</v>
      </c>
      <c r="B9" s="15">
        <f>B4*(1-B5/100)</f>
        <v>2.2199999999999998</v>
      </c>
    </row>
    <row r="11" spans="1:5" ht="15.75" x14ac:dyDescent="0.25">
      <c r="A11" s="7" t="s">
        <v>141</v>
      </c>
    </row>
    <row r="12" spans="1:5" ht="15.75" x14ac:dyDescent="0.25">
      <c r="A12" t="s">
        <v>142</v>
      </c>
      <c r="B12" s="26">
        <f>(1+B9/100)/(1+B6/100)-1</f>
        <v>1.956947162427003E-4</v>
      </c>
    </row>
    <row r="14" spans="1:5" x14ac:dyDescent="0.25">
      <c r="A14" s="9" t="s">
        <v>71</v>
      </c>
    </row>
    <row r="15" spans="1:5" x14ac:dyDescent="0.25">
      <c r="A15" s="32" t="s">
        <v>143</v>
      </c>
      <c r="B15" s="30"/>
      <c r="C15" s="30"/>
      <c r="D15" s="30"/>
    </row>
    <row r="16" spans="1:5" x14ac:dyDescent="0.25">
      <c r="A16" s="30"/>
      <c r="B16" s="30"/>
      <c r="C16" s="30"/>
      <c r="D16" s="30"/>
    </row>
    <row r="17" spans="1:4" x14ac:dyDescent="0.25">
      <c r="A17" s="40" t="s">
        <v>144</v>
      </c>
      <c r="B17" s="30"/>
      <c r="C17" s="30"/>
      <c r="D17" s="30"/>
    </row>
    <row r="18" spans="1:4" x14ac:dyDescent="0.25">
      <c r="A18" s="41" t="s">
        <v>145</v>
      </c>
      <c r="B18" s="30"/>
      <c r="C18" s="30"/>
      <c r="D18" s="30"/>
    </row>
    <row r="20" spans="1:4" ht="15.75" x14ac:dyDescent="0.25">
      <c r="A20" s="7" t="s">
        <v>146</v>
      </c>
    </row>
    <row r="21" spans="1:4" x14ac:dyDescent="0.25">
      <c r="A21" s="23" t="s">
        <v>147</v>
      </c>
      <c r="B21" s="23" t="s">
        <v>148</v>
      </c>
      <c r="C21" s="23" t="s">
        <v>149</v>
      </c>
      <c r="D21" s="23" t="s">
        <v>150</v>
      </c>
    </row>
    <row r="22" spans="1:4" x14ac:dyDescent="0.25">
      <c r="A22" t="s">
        <v>151</v>
      </c>
      <c r="B22" s="27">
        <v>3.0499999999999999E-2</v>
      </c>
      <c r="C22" s="22">
        <f>3.05*(1-0.26)</f>
        <v>2.2569999999999997</v>
      </c>
      <c r="D22" s="13">
        <f>(1+B22/100)/(1+B6/100)-1</f>
        <v>-2.1227984344422746E-2</v>
      </c>
    </row>
    <row r="23" spans="1:4" x14ac:dyDescent="0.25">
      <c r="A23" t="s">
        <v>152</v>
      </c>
      <c r="B23" s="27">
        <v>3.5999999999999997E-2</v>
      </c>
      <c r="C23" s="22">
        <f>3.6*(1-0.26)</f>
        <v>2.6640000000000001</v>
      </c>
      <c r="D23" s="13">
        <f>(1+B23/100)/(1+B6/100)-1</f>
        <v>-2.1174168297456109E-2</v>
      </c>
    </row>
    <row r="24" spans="1:4" x14ac:dyDescent="0.25">
      <c r="A24" t="s">
        <v>153</v>
      </c>
      <c r="B24" s="27">
        <v>2.9000000000000001E-2</v>
      </c>
      <c r="C24" s="22">
        <f>2.9*(1-0.26)</f>
        <v>2.1459999999999999</v>
      </c>
      <c r="D24" s="13">
        <f>(1+B24/100)/(1+B6/100)-1</f>
        <v>-2.124266144814102E-2</v>
      </c>
    </row>
  </sheetData>
  <mergeCells count="4">
    <mergeCell ref="A17:D17"/>
    <mergeCell ref="A1:E1"/>
    <mergeCell ref="A15:D16"/>
    <mergeCell ref="A18:D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🏠 Istruzioni</vt:lpstr>
      <vt:lpstr>💰 Confronto Rendimenti</vt:lpstr>
      <vt:lpstr>📊 Calcolo Duration</vt:lpstr>
      <vt:lpstr>📈 Curva Tassi Forward</vt:lpstr>
      <vt:lpstr>🎲 Monte Carlo</vt:lpstr>
      <vt:lpstr>🔍 Sensibilità Tassi</vt:lpstr>
      <vt:lpstr>💵 Rendimento Reale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Simone Balestri</cp:lastModifiedBy>
  <dcterms:created xsi:type="dcterms:W3CDTF">2025-11-09T22:04:21Z</dcterms:created>
  <dcterms:modified xsi:type="dcterms:W3CDTF">2025-11-09T22:08:34Z</dcterms:modified>
</cp:coreProperties>
</file>